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Paul\Vmhp\HB_VMHP\kaderbijeenkomst\"/>
    </mc:Choice>
  </mc:AlternateContent>
  <xr:revisionPtr revIDLastSave="0" documentId="8_{65D14457-EA80-4341-A125-FEFB9E6333D2}" xr6:coauthVersionLast="40" xr6:coauthVersionMax="40" xr10:uidLastSave="{00000000-0000-0000-0000-000000000000}"/>
  <bookViews>
    <workbookView xWindow="0" yWindow="0" windowWidth="17280" windowHeight="6252" xr2:uid="{4B903F96-D438-4C75-9640-54EF7BF33A7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" i="1" l="1"/>
  <c r="S8" i="1"/>
  <c r="S6" i="1"/>
  <c r="K7" i="1"/>
  <c r="L7" i="1"/>
  <c r="M7" i="1"/>
  <c r="N7" i="1"/>
  <c r="O7" i="1"/>
  <c r="P7" i="1"/>
  <c r="Q7" i="1"/>
  <c r="K8" i="1"/>
  <c r="O8" i="1" s="1"/>
  <c r="L8" i="1"/>
  <c r="M8" i="1"/>
  <c r="N8" i="1"/>
  <c r="P8" i="1"/>
  <c r="Q8" i="1"/>
  <c r="Q6" i="1"/>
  <c r="O6" i="1"/>
  <c r="N6" i="1"/>
  <c r="M6" i="1"/>
  <c r="L6" i="1"/>
  <c r="P6" i="1" s="1"/>
  <c r="K6" i="1"/>
  <c r="J7" i="1"/>
  <c r="J8" i="1"/>
  <c r="I7" i="1"/>
  <c r="I8" i="1"/>
  <c r="H7" i="1"/>
  <c r="H8" i="1"/>
  <c r="J6" i="1"/>
  <c r="I6" i="1"/>
  <c r="H6" i="1"/>
  <c r="G7" i="1"/>
  <c r="G8" i="1"/>
  <c r="G6" i="1"/>
  <c r="F7" i="1"/>
  <c r="F8" i="1"/>
  <c r="F6" i="1"/>
  <c r="E7" i="1"/>
  <c r="E8" i="1"/>
  <c r="E6" i="1"/>
  <c r="C7" i="1"/>
  <c r="C8" i="1"/>
  <c r="C6" i="1"/>
  <c r="L81" i="1" l="1"/>
  <c r="L80" i="1"/>
  <c r="L79" i="1"/>
  <c r="L78" i="1"/>
  <c r="L77" i="1" l="1"/>
  <c r="L76" i="1"/>
  <c r="L75" i="1"/>
  <c r="L74" i="1"/>
  <c r="L73" i="1"/>
  <c r="G22" i="1"/>
  <c r="F22" i="1"/>
  <c r="E22" i="1"/>
  <c r="C22" i="1"/>
  <c r="E30" i="1" l="1"/>
  <c r="C30" i="1"/>
  <c r="Q30" i="1" s="1"/>
  <c r="E26" i="1"/>
  <c r="C26" i="1"/>
  <c r="H26" i="1" s="1"/>
  <c r="F10" i="1"/>
  <c r="F11" i="1"/>
  <c r="F12" i="1"/>
  <c r="F13" i="1"/>
  <c r="F14" i="1"/>
  <c r="F15" i="1"/>
  <c r="F16" i="1"/>
  <c r="F17" i="1"/>
  <c r="F18" i="1"/>
  <c r="F9" i="1"/>
  <c r="E10" i="1"/>
  <c r="E11" i="1"/>
  <c r="E12" i="1"/>
  <c r="E13" i="1"/>
  <c r="E14" i="1"/>
  <c r="E15" i="1"/>
  <c r="E16" i="1"/>
  <c r="E17" i="1"/>
  <c r="E18" i="1"/>
  <c r="E9" i="1"/>
  <c r="I30" i="1" l="1"/>
  <c r="G31" i="1" s="1"/>
  <c r="S30" i="1"/>
  <c r="Q26" i="1"/>
  <c r="G27" i="1" s="1"/>
  <c r="S26" i="1"/>
  <c r="G74" i="1"/>
  <c r="G75" i="1"/>
  <c r="G76" i="1"/>
  <c r="G77" i="1"/>
  <c r="G78" i="1"/>
  <c r="G79" i="1"/>
  <c r="G80" i="1"/>
  <c r="G81" i="1"/>
  <c r="G73" i="1"/>
  <c r="H74" i="1"/>
  <c r="W74" i="1" s="1"/>
  <c r="X74" i="1" s="1"/>
  <c r="H75" i="1"/>
  <c r="W75" i="1" s="1"/>
  <c r="X75" i="1" s="1"/>
  <c r="H76" i="1"/>
  <c r="W76" i="1" s="1"/>
  <c r="X76" i="1" s="1"/>
  <c r="H77" i="1"/>
  <c r="W77" i="1" s="1"/>
  <c r="X77" i="1" s="1"/>
  <c r="H78" i="1"/>
  <c r="W78" i="1" s="1"/>
  <c r="X78" i="1" s="1"/>
  <c r="H79" i="1"/>
  <c r="W79" i="1" s="1"/>
  <c r="X79" i="1" s="1"/>
  <c r="H80" i="1"/>
  <c r="W80" i="1" s="1"/>
  <c r="X80" i="1" s="1"/>
  <c r="H81" i="1"/>
  <c r="W81" i="1" s="1"/>
  <c r="X81" i="1" s="1"/>
  <c r="H73" i="1"/>
  <c r="W73" i="1" s="1"/>
  <c r="X73" i="1" s="1"/>
  <c r="C10" i="1"/>
  <c r="C11" i="1"/>
  <c r="C12" i="1"/>
  <c r="S12" i="1" s="1"/>
  <c r="C13" i="1"/>
  <c r="C14" i="1"/>
  <c r="C15" i="1"/>
  <c r="C16" i="1"/>
  <c r="C17" i="1"/>
  <c r="C18" i="1"/>
  <c r="C9" i="1"/>
  <c r="K18" i="1" l="1"/>
  <c r="O18" i="1" s="1"/>
  <c r="L18" i="1"/>
  <c r="P18" i="1" s="1"/>
  <c r="Q18" i="1"/>
  <c r="L14" i="1"/>
  <c r="P14" i="1" s="1"/>
  <c r="K14" i="1"/>
  <c r="O14" i="1" s="1"/>
  <c r="Q14" i="1"/>
  <c r="K10" i="1"/>
  <c r="O10" i="1" s="1"/>
  <c r="L10" i="1"/>
  <c r="P10" i="1" s="1"/>
  <c r="Q10" i="1"/>
  <c r="Q22" i="1" s="1"/>
  <c r="G23" i="1" s="1"/>
  <c r="K17" i="1"/>
  <c r="O17" i="1" s="1"/>
  <c r="L17" i="1"/>
  <c r="P17" i="1" s="1"/>
  <c r="Q17" i="1"/>
  <c r="K13" i="1"/>
  <c r="O13" i="1" s="1"/>
  <c r="L13" i="1"/>
  <c r="P13" i="1" s="1"/>
  <c r="Q13" i="1"/>
  <c r="S17" i="1"/>
  <c r="L16" i="1"/>
  <c r="P16" i="1" s="1"/>
  <c r="K16" i="1"/>
  <c r="O16" i="1" s="1"/>
  <c r="Q16" i="1"/>
  <c r="K12" i="1"/>
  <c r="O12" i="1" s="1"/>
  <c r="L12" i="1"/>
  <c r="P12" i="1" s="1"/>
  <c r="Q12" i="1"/>
  <c r="S16" i="1"/>
  <c r="L9" i="1"/>
  <c r="P9" i="1" s="1"/>
  <c r="K9" i="1"/>
  <c r="O9" i="1" s="1"/>
  <c r="Q9" i="1"/>
  <c r="L15" i="1"/>
  <c r="P15" i="1" s="1"/>
  <c r="K15" i="1"/>
  <c r="O15" i="1" s="1"/>
  <c r="Q15" i="1"/>
  <c r="L11" i="1"/>
  <c r="P11" i="1" s="1"/>
  <c r="K11" i="1"/>
  <c r="O11" i="1" s="1"/>
  <c r="Q11" i="1"/>
  <c r="S13" i="1"/>
  <c r="J15" i="1"/>
  <c r="N15" i="1" s="1"/>
  <c r="H15" i="1"/>
  <c r="I15" i="1"/>
  <c r="M15" i="1" s="1"/>
  <c r="G15" i="1"/>
  <c r="J14" i="1"/>
  <c r="N14" i="1" s="1"/>
  <c r="H14" i="1"/>
  <c r="I14" i="1"/>
  <c r="M14" i="1" s="1"/>
  <c r="G14" i="1"/>
  <c r="I13" i="1"/>
  <c r="M13" i="1" s="1"/>
  <c r="G13" i="1"/>
  <c r="J13" i="1"/>
  <c r="N13" i="1" s="1"/>
  <c r="H13" i="1"/>
  <c r="J9" i="1"/>
  <c r="N9" i="1" s="1"/>
  <c r="H9" i="1"/>
  <c r="I9" i="1"/>
  <c r="M9" i="1" s="1"/>
  <c r="G9" i="1"/>
  <c r="J11" i="1"/>
  <c r="N11" i="1" s="1"/>
  <c r="H11" i="1"/>
  <c r="I11" i="1"/>
  <c r="M11" i="1" s="1"/>
  <c r="G11" i="1"/>
  <c r="J18" i="1"/>
  <c r="N18" i="1" s="1"/>
  <c r="H18" i="1"/>
  <c r="I18" i="1"/>
  <c r="M18" i="1" s="1"/>
  <c r="G18" i="1"/>
  <c r="J10" i="1"/>
  <c r="N10" i="1" s="1"/>
  <c r="H10" i="1"/>
  <c r="I10" i="1"/>
  <c r="M10" i="1" s="1"/>
  <c r="G10" i="1"/>
  <c r="I17" i="1"/>
  <c r="M17" i="1" s="1"/>
  <c r="G17" i="1"/>
  <c r="J17" i="1"/>
  <c r="N17" i="1" s="1"/>
  <c r="H17" i="1"/>
  <c r="S9" i="1"/>
  <c r="S15" i="1"/>
  <c r="S11" i="1"/>
  <c r="I16" i="1"/>
  <c r="M16" i="1" s="1"/>
  <c r="G16" i="1"/>
  <c r="J16" i="1"/>
  <c r="N16" i="1" s="1"/>
  <c r="H16" i="1"/>
  <c r="I12" i="1"/>
  <c r="M12" i="1" s="1"/>
  <c r="G12" i="1"/>
  <c r="J12" i="1"/>
  <c r="N12" i="1" s="1"/>
  <c r="H12" i="1"/>
  <c r="S18" i="1"/>
  <c r="S14" i="1"/>
  <c r="S10" i="1"/>
  <c r="S22" i="1" s="1"/>
</calcChain>
</file>

<file path=xl/sharedStrings.xml><?xml version="1.0" encoding="utf-8"?>
<sst xmlns="http://schemas.openxmlformats.org/spreadsheetml/2006/main" count="129" uniqueCount="98">
  <si>
    <t>Huidige aanspraken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</si>
  <si>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</si>
  <si>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</si>
  <si>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</si>
  <si>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</si>
  <si>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</si>
  <si>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</si>
  <si>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</si>
  <si>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</si>
  <si>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</si>
  <si>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</si>
  <si>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uurloon</t>
  </si>
  <si>
    <t>TBF, als
van toe-passing</t>
  </si>
  <si>
    <t>leeftijds-uren</t>
  </si>
  <si>
    <t>max.
maand-salaris</t>
  </si>
  <si>
    <t>v/a 45 jr</t>
  </si>
  <si>
    <t>v/a 50 jaar</t>
  </si>
  <si>
    <t>v/a 55 jaar</t>
  </si>
  <si>
    <t>v/a 60 jaar</t>
  </si>
  <si>
    <t>v/a 58 jr</t>
  </si>
  <si>
    <t>LFU-aanspraak</t>
  </si>
  <si>
    <t>waarde
 p.jr</t>
  </si>
  <si>
    <t>jaar</t>
  </si>
  <si>
    <t>vanaf 01-07-2019
tot AOW-leeftijd</t>
  </si>
  <si>
    <t>leeftijd
 1-7-2018</t>
  </si>
  <si>
    <t>67 jr en 3 maanden</t>
  </si>
  <si>
    <t>AOW-
leeftijd ??</t>
  </si>
  <si>
    <t>max te
realiseren uren</t>
  </si>
  <si>
    <t>max periode
in jaren</t>
  </si>
  <si>
    <t>1% meer werken om niet</t>
  </si>
  <si>
    <t>per jaar
uren:</t>
  </si>
  <si>
    <t>Alg levensloop
bijdrage p.jr
0,75%</t>
  </si>
  <si>
    <t>uren / waarde per jaar</t>
  </si>
  <si>
    <t>bijdrage wg 50% p.jr</t>
  </si>
  <si>
    <t>Uitwerking, medewerker 50 jaar, schaal 12:</t>
  </si>
  <si>
    <t>n.v.t.</t>
  </si>
  <si>
    <t>totale aanspraak per jaar</t>
  </si>
  <si>
    <t>uur
p.jr</t>
  </si>
  <si>
    <t>Uitwerking, medewerker 54 jaar, schaal 15</t>
  </si>
  <si>
    <t>excl. Evt gebruik RPU</t>
  </si>
  <si>
    <r>
      <t xml:space="preserve">maximaal op te bouwen </t>
    </r>
    <r>
      <rPr>
        <b/>
        <sz val="11"/>
        <color rgb="FFFF0000"/>
        <rFont val="Calibri"/>
        <family val="2"/>
        <scheme val="minor"/>
      </rPr>
      <t>(excl. Startbudget</t>
    </r>
    <r>
      <rPr>
        <b/>
        <sz val="11"/>
        <color theme="1"/>
        <rFont val="Calibri"/>
        <family val="2"/>
        <scheme val="minor"/>
      </rPr>
      <t>)</t>
    </r>
  </si>
  <si>
    <t>v/a 55 jr</t>
  </si>
  <si>
    <t>Naast financiele aspecten, zijn vragen relevant als:</t>
  </si>
  <si>
    <t>RPU
(excl. Pensioen-
gevolgen)</t>
  </si>
  <si>
    <t>11,1%
208 uur</t>
  </si>
  <si>
    <t>33,3%
624 uur</t>
  </si>
  <si>
    <t>leeftijdsuren vervallen!</t>
  </si>
  <si>
    <t>v/a 60 jr</t>
  </si>
  <si>
    <t>11,1% RPU</t>
  </si>
  <si>
    <t>33,3% RPU</t>
  </si>
  <si>
    <r>
      <rPr>
        <b/>
        <sz val="11"/>
        <color rgb="FFFF0000"/>
        <rFont val="Calibri"/>
        <family val="2"/>
        <scheme val="minor"/>
      </rPr>
      <t>geen aan-
spraak</t>
    </r>
    <r>
      <rPr>
        <b/>
        <sz val="11"/>
        <color theme="1"/>
        <rFont val="Calibri"/>
        <family val="2"/>
        <scheme val="minor"/>
      </rPr>
      <t xml:space="preserve"> op
leeftijdsuren</t>
    </r>
  </si>
  <si>
    <r>
      <rPr>
        <b/>
        <sz val="11"/>
        <color rgb="FFFF0000"/>
        <rFont val="Calibri"/>
        <family val="2"/>
        <scheme val="minor"/>
      </rPr>
      <t>minder</t>
    </r>
    <r>
      <rPr>
        <b/>
        <sz val="11"/>
        <color theme="1"/>
        <rFont val="Calibri"/>
        <family val="2"/>
        <scheme val="minor"/>
      </rPr>
      <t xml:space="preserve"> aan
Eindejaarsuitkering</t>
    </r>
  </si>
  <si>
    <t>1. Maak je t.z.t. wel/geen gebruik van RPU</t>
  </si>
  <si>
    <t>Startbudget:</t>
  </si>
  <si>
    <t>Formule:</t>
  </si>
  <si>
    <t>((A1*53,8) – (A1*14) – (A2*25,032) – (B1*7,2) – (B2*14,4)-(B3*21,6)-(B4*28,8))*c/36</t>
  </si>
  <si>
    <t>(TBF max 25 jr)</t>
  </si>
  <si>
    <t>Uitwerking, medewerker 46 jaar, schaal 10:</t>
  </si>
  <si>
    <t>in dienst 
vanaf</t>
  </si>
  <si>
    <t>v/a 25 jr.</t>
  </si>
  <si>
    <t>Startbudget
per 1-7-2019</t>
  </si>
  <si>
    <t>((21 * 53,8) - (21 * 14) - (21 * 25,032) - (2 * 7,2) - (0 * 14,4) - (0 * 21,6) - (0 * 28,8)) * 36/36</t>
  </si>
  <si>
    <t>((22 * 53,8) - (22 * 14) - (22 * 25,032) - (3 * 7,2) - (0 * 14,4) - (0 * 21,6) - (0 * 28,8)) * 36/36</t>
  </si>
  <si>
    <t>((23 * 53,8) - (23 * 14) - (23 * 25,032) - (4 * 7,2) - (0 * 14,4) - (0 * 21,6) - (0 * 28,8)) * 36/36</t>
  </si>
  <si>
    <t>((24 * 53,8) - (24 * 14) - (24 * 25,032) - (5 * 7,2) - (0 * 14,4) - (0 * 21,6) - (0 * 28,8)) *36/36</t>
  </si>
  <si>
    <t>((25 * 53,8) - (25 * 14) - (25 * 25,032) - (5 * 7,2) - (1 * 14,4) - (0 * 21,6) - (0 * 28,8)) * 36/36</t>
  </si>
  <si>
    <t>((26 * 53,8) - (26 * 14) - (25 * 25,032) - (5 * 7,2) - (2 * 14,4) - (0 * 21,6) - (0 * 28,8)) * 36/36</t>
  </si>
  <si>
    <t>((27 * 53,8) - (27 * 14) - (25 * 25,032) - (5 * 7,2) - (3 * 14,4) - (0 * 21,6) - (0 * 28,8)) * 36/36</t>
  </si>
  <si>
    <t>((28 * 53,8) - (28 * 14) - (25 * 25,032) - (5 * 7,2) - (4 * 14,4) - (0 * 21,6) - (0 * 28,8)) * 36/36</t>
  </si>
  <si>
    <t>((29 * 53,8) - (29 * 14) - (25 * 25,032) - (5 * 7,2) - (5 * 14,4) - (1 * 21,6) - (0 * 28,8)) * 36/36</t>
  </si>
  <si>
    <t>in weken</t>
  </si>
  <si>
    <r>
      <t>max te realiseren
 (</t>
    </r>
    <r>
      <rPr>
        <b/>
        <sz val="11"/>
        <color rgb="FFFF0000"/>
        <rFont val="Calibri"/>
        <family val="2"/>
        <scheme val="minor"/>
      </rPr>
      <t>incl. startbudget</t>
    </r>
    <r>
      <rPr>
        <b/>
        <sz val="11"/>
        <color theme="1"/>
        <rFont val="Calibri"/>
        <family val="2"/>
        <scheme val="minor"/>
      </rPr>
      <t>)</t>
    </r>
  </si>
  <si>
    <t>totaal aanspraak per jaar</t>
  </si>
  <si>
    <t>Wel of niet opnemen afhankelijk van:</t>
  </si>
  <si>
    <t>Vaste lasten (hypotheek/huur/energie/belastingen/verzekeringen/vervoer etc)</t>
  </si>
  <si>
    <t>Alimentatie</t>
  </si>
  <si>
    <t>Eventuele kosten van kinderen</t>
  </si>
  <si>
    <t>Eventuele inkomsten partner</t>
  </si>
  <si>
    <t>Langere “overbruggingstijd” i.v.m. latere AOW-leeftijd</t>
  </si>
  <si>
    <t>2. Gebruik RPU buiten termijn van 10 jaar voorafgaand door ABP te gebruiken pensioenrekenleeftijd, leidt tot beperkte pensioenopbouw tot einde dienstverband;</t>
  </si>
  <si>
    <t>bruto</t>
  </si>
  <si>
    <t>netto</t>
  </si>
  <si>
    <t>netto
12 uur RPU</t>
  </si>
  <si>
    <t>netto
4 uur RPU</t>
  </si>
  <si>
    <t>3. Gebruik RPU vanaf 55 jaar wordt haast door niemand meer aangevraagd;</t>
  </si>
  <si>
    <t>4. Bij volledig gebruik RPU vervalt aanspraak op leeftijds-uren</t>
  </si>
  <si>
    <t>6. Past gebruik RPU bij de functie (niveau) die je hebt</t>
  </si>
  <si>
    <r>
      <t>7. Kan jezelf de eigen bijdrage (</t>
    </r>
    <r>
      <rPr>
        <i/>
        <sz val="11"/>
        <color theme="1"/>
        <rFont val="Calibri"/>
        <family val="2"/>
        <scheme val="minor"/>
      </rPr>
      <t>gelijk aan bijdrage werkgever</t>
    </r>
    <r>
      <rPr>
        <sz val="11"/>
        <color theme="1"/>
        <rFont val="Calibri"/>
        <family val="2"/>
        <scheme val="minor"/>
      </rPr>
      <t>) dragen</t>
    </r>
  </si>
  <si>
    <r>
      <t xml:space="preserve">Bruto-netto </t>
    </r>
    <r>
      <rPr>
        <i/>
        <sz val="11"/>
        <color theme="1"/>
        <rFont val="Calibri"/>
        <family val="2"/>
        <scheme val="minor"/>
      </rPr>
      <t>(indicatief</t>
    </r>
    <r>
      <rPr>
        <sz val="11"/>
        <color theme="1"/>
        <rFont val="Calibri"/>
        <family val="2"/>
        <scheme val="minor"/>
      </rPr>
      <t xml:space="preserve">); inhouding AOV; </t>
    </r>
    <r>
      <rPr>
        <b/>
        <sz val="11"/>
        <color rgb="FFFF0000"/>
        <rFont val="Calibri"/>
        <family val="2"/>
        <scheme val="minor"/>
      </rPr>
      <t>excl. Inhouding CZ</t>
    </r>
  </si>
  <si>
    <t>Eigen bijdrage aan RPU leidt tevens tot lagere Eindejaarsuitkering</t>
  </si>
  <si>
    <t>5. Eigen bijdrage (korting op salaris) vanwege RPU, leidt tot verlaging van eindejaarsuitkering.</t>
  </si>
  <si>
    <t>schaal</t>
  </si>
  <si>
    <t>(niveau
1-7-2018)</t>
  </si>
  <si>
    <t>S6</t>
  </si>
  <si>
    <t>S7</t>
  </si>
  <si>
    <t>S8</t>
  </si>
  <si>
    <t>op basis van aanstelling 36 uur per week</t>
  </si>
  <si>
    <r>
      <t xml:space="preserve">schaal
op basis </t>
    </r>
    <r>
      <rPr>
        <b/>
        <sz val="11"/>
        <color rgb="FFFF0000"/>
        <rFont val="Calibri"/>
        <family val="2"/>
        <scheme val="minor"/>
      </rPr>
      <t>36 u/pwk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</si>
</sst>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#,##0.0"/>
    <numFmt numFmtId="166" formatCode="0.0%"/>
    <numFmt numFmtId="167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167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164" fontId="0" fillId="2" borderId="1" xfId="0" applyNumberFormat="1" applyFill="1" applyBorder="1" applyAlignment="1">
      <alignment horizontal="center"/>
    </xf>
    <xf numFmtId="0" fontId="0" fillId="3" borderId="0" xfId="0" applyFill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0" fillId="4" borderId="1" xfId="0" applyFill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center"/>
    </xf>
    <xf numFmtId="164" fontId="5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0" fillId="5" borderId="1" xfId="0" applyFill="1" applyBorder="1"/>
    <xf numFmtId="164" fontId="0" fillId="5" borderId="1" xfId="0" applyNumberFormat="1" applyFill="1" applyBorder="1"/>
    <xf numFmtId="164" fontId="0" fillId="5" borderId="1" xfId="0" applyNumberForma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14" fontId="0" fillId="0" borderId="1" xfId="0" applyNumberFormat="1" applyBorder="1" applyAlignment="1">
      <alignment horizontal="center"/>
    </xf>
    <xf numFmtId="167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4" fillId="0" borderId="1" xfId="0" applyFont="1" applyBorder="1" applyAlignment="1">
      <alignment wrapText="1"/>
    </xf>
    <xf numFmtId="0" fontId="0" fillId="0" borderId="2" xfId="0" applyBorder="1"/>
    <xf numFmtId="2" fontId="0" fillId="0" borderId="1" xfId="0" applyNumberFormat="1" applyBorder="1"/>
    <xf numFmtId="0" fontId="0" fillId="5" borderId="0" xfId="0" applyFill="1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ill="1" applyBorder="1"/>
    <xf numFmtId="164" fontId="0" fillId="0" borderId="1" xfId="0" applyNumberFormat="1" applyFill="1" applyBorder="1"/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6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1" xfId="0" applyFont="1" applyBorder="1"/>
    <xf numFmtId="0" fontId="0" fillId="0" borderId="0" xfId="0" applyFont="1"/>
    <xf numFmtId="164" fontId="0" fillId="0" borderId="1" xfId="0" applyNumberFormat="1" applyFont="1" applyBorder="1" applyAlignment="1">
      <alignment wrapText="1"/>
    </xf>
    <xf numFmtId="164" fontId="0" fillId="0" borderId="1" xfId="0" applyNumberFormat="1" applyFont="1" applyBorder="1"/>
    <xf numFmtId="164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51B5D-EF0C-4896-9126-F1BB4D6D4F66}">
  <dimension ref="A1:X81"/>
  <sheetViews>
    <sheetView tabSelected="1" topLeftCell="A64" zoomScale="65" zoomScaleNormal="65" workbookViewId="0">
      <selection activeCell="C3" sqref="C3"/>
    </sheetView>
  </sheetViews>
  <sheetFormatPr defaultRowHeight="14.4" x14ac:dyDescent="0.3"/>
  <cols>
    <col min="2" max="2" width="11.109375" customWidth="1"/>
    <col min="3" max="3" width="10.44140625" customWidth="1"/>
    <col min="4" max="4" width="3.109375" customWidth="1"/>
    <col min="5" max="5" width="13.109375" customWidth="1"/>
    <col min="6" max="6" width="11.44140625" customWidth="1"/>
    <col min="7" max="9" width="10.109375" customWidth="1"/>
    <col min="10" max="10" width="10" bestFit="1" customWidth="1"/>
    <col min="11" max="11" width="12.88671875" customWidth="1"/>
    <col min="12" max="12" width="12.44140625" customWidth="1"/>
    <col min="13" max="13" width="10.88671875" customWidth="1"/>
    <col min="14" max="15" width="12.5546875" customWidth="1"/>
    <col min="16" max="16" width="10.88671875" customWidth="1"/>
    <col min="17" max="17" width="10.44140625" customWidth="1"/>
    <col min="18" max="18" width="3.6640625" customWidth="1"/>
    <col min="19" max="19" width="9.88671875" customWidth="1"/>
    <col min="20" max="20" width="5.33203125" customWidth="1"/>
    <col min="21" max="21" width="4.33203125" customWidth="1"/>
    <col min="23" max="23" width="19" customWidth="1"/>
    <col min="24" max="24" width="13.77734375" customWidth="1"/>
    <col min="25" max="25" width="10.21875" customWidth="1"/>
  </cols>
  <sheetData>
    <row r="1" spans="1:21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28"/>
      <c r="N1" s="28"/>
      <c r="O1" s="28"/>
      <c r="P1" s="28"/>
      <c r="Q1" s="13"/>
      <c r="S1" s="2" t="s">
        <v>20</v>
      </c>
    </row>
    <row r="2" spans="1:21" ht="42" customHeight="1" x14ac:dyDescent="0.3">
      <c r="A2" s="5" t="s">
        <v>97</v>
      </c>
      <c r="B2" s="5" t="s">
        <v>14</v>
      </c>
      <c r="C2" s="11" t="s">
        <v>11</v>
      </c>
      <c r="D2" s="2"/>
      <c r="E2" s="5" t="s">
        <v>31</v>
      </c>
      <c r="F2" s="5" t="s">
        <v>12</v>
      </c>
      <c r="G2" s="58" t="s">
        <v>13</v>
      </c>
      <c r="H2" s="59"/>
      <c r="I2" s="59"/>
      <c r="J2" s="60"/>
      <c r="K2" s="62" t="s">
        <v>43</v>
      </c>
      <c r="L2" s="63"/>
      <c r="M2" s="63"/>
      <c r="N2" s="63"/>
      <c r="O2" s="63"/>
      <c r="P2" s="64"/>
      <c r="Q2" s="29" t="s">
        <v>29</v>
      </c>
      <c r="R2" s="55"/>
      <c r="S2" s="15">
        <v>53.8</v>
      </c>
      <c r="T2" s="16" t="s">
        <v>37</v>
      </c>
      <c r="U2" s="17"/>
    </row>
    <row r="3" spans="1:21" ht="44.4" customHeight="1" x14ac:dyDescent="0.3">
      <c r="A3" s="7"/>
      <c r="B3" s="3" t="s">
        <v>92</v>
      </c>
      <c r="C3" s="7"/>
      <c r="D3" s="2"/>
      <c r="E3" s="3"/>
      <c r="F3" s="3"/>
      <c r="G3" s="58" t="s">
        <v>32</v>
      </c>
      <c r="H3" s="59"/>
      <c r="I3" s="59"/>
      <c r="J3" s="60"/>
      <c r="K3" s="5" t="s">
        <v>41</v>
      </c>
      <c r="L3" s="7" t="s">
        <v>19</v>
      </c>
      <c r="M3" s="61" t="s">
        <v>50</v>
      </c>
      <c r="N3" s="61"/>
      <c r="O3" s="58" t="s">
        <v>51</v>
      </c>
      <c r="P3" s="60"/>
      <c r="Q3" s="20" t="s">
        <v>30</v>
      </c>
      <c r="R3" s="55"/>
      <c r="S3" s="5" t="s">
        <v>21</v>
      </c>
      <c r="T3" s="9"/>
      <c r="U3" s="18"/>
    </row>
    <row r="4" spans="1:21" ht="28.8" x14ac:dyDescent="0.3">
      <c r="A4" s="7"/>
      <c r="B4" s="3"/>
      <c r="C4" s="7"/>
      <c r="D4" s="2"/>
      <c r="E4" s="3"/>
      <c r="F4" s="3"/>
      <c r="G4" s="3" t="s">
        <v>15</v>
      </c>
      <c r="H4" s="3" t="s">
        <v>16</v>
      </c>
      <c r="I4" s="3" t="s">
        <v>17</v>
      </c>
      <c r="J4" s="5" t="s">
        <v>18</v>
      </c>
      <c r="K4" s="10" t="s">
        <v>44</v>
      </c>
      <c r="L4" s="10" t="s">
        <v>45</v>
      </c>
      <c r="M4" s="10" t="s">
        <v>41</v>
      </c>
      <c r="N4" s="10" t="s">
        <v>47</v>
      </c>
      <c r="O4" s="10" t="s">
        <v>48</v>
      </c>
      <c r="P4" s="10" t="s">
        <v>49</v>
      </c>
      <c r="Q4" s="21">
        <v>18</v>
      </c>
      <c r="R4" s="55"/>
      <c r="S4" s="8"/>
    </row>
    <row r="5" spans="1:21" x14ac:dyDescent="0.3">
      <c r="A5" s="7"/>
      <c r="B5" s="3"/>
      <c r="C5" s="7"/>
      <c r="D5" s="2"/>
      <c r="E5" s="3"/>
      <c r="F5" s="3"/>
      <c r="G5" s="12">
        <v>7.2</v>
      </c>
      <c r="H5" s="12">
        <v>14.4</v>
      </c>
      <c r="I5" s="12">
        <v>21.6</v>
      </c>
      <c r="J5" s="12">
        <v>28.8</v>
      </c>
      <c r="K5" s="61" t="s">
        <v>33</v>
      </c>
      <c r="L5" s="61"/>
      <c r="M5" s="20"/>
      <c r="N5" s="20"/>
      <c r="O5" s="20"/>
      <c r="P5" s="20"/>
      <c r="Q5" s="20"/>
      <c r="R5" s="55"/>
      <c r="S5" s="8"/>
    </row>
    <row r="6" spans="1:21" x14ac:dyDescent="0.3">
      <c r="A6" s="65" t="s">
        <v>93</v>
      </c>
      <c r="B6" s="67">
        <v>3016.15</v>
      </c>
      <c r="C6" s="68">
        <f>B6/157</f>
        <v>19.211146496815289</v>
      </c>
      <c r="D6" s="66"/>
      <c r="E6" s="6">
        <f>(((B6)+(B6*0.16))*0.0075)*12</f>
        <v>314.88605999999999</v>
      </c>
      <c r="F6" s="6">
        <f>(((B6)+(B6*0.16))*0.018)*12</f>
        <v>755.72654399999988</v>
      </c>
      <c r="G6" s="4">
        <f>$G$5*C6</f>
        <v>138.32025477707009</v>
      </c>
      <c r="H6" s="4">
        <f>$H$5*C6</f>
        <v>276.64050955414018</v>
      </c>
      <c r="I6" s="4">
        <f>$I$5*C6</f>
        <v>414.96076433121027</v>
      </c>
      <c r="J6" s="4">
        <f>$J$5*C6</f>
        <v>553.28101910828036</v>
      </c>
      <c r="K6" s="4">
        <f>((4*52.17)/2)*C6</f>
        <v>2004.4910254777074</v>
      </c>
      <c r="L6" s="4">
        <f>((12*52.17)/2)*C6</f>
        <v>6013.4730764331216</v>
      </c>
      <c r="M6" s="34">
        <f>-I6</f>
        <v>-414.96076433121027</v>
      </c>
      <c r="N6" s="34">
        <f>-J6</f>
        <v>-553.28101910828036</v>
      </c>
      <c r="O6" s="34">
        <f>-K6*0.0833</f>
        <v>-166.97410242229302</v>
      </c>
      <c r="P6" s="34">
        <f>-L6*0.0833</f>
        <v>-500.92230726687905</v>
      </c>
      <c r="Q6" s="4">
        <f>-$Q$4*C6</f>
        <v>-345.80063694267517</v>
      </c>
      <c r="R6" s="55"/>
      <c r="S6" s="4">
        <f>$S$2*C6</f>
        <v>1033.5596815286624</v>
      </c>
    </row>
    <row r="7" spans="1:21" x14ac:dyDescent="0.3">
      <c r="A7" s="65" t="s">
        <v>94</v>
      </c>
      <c r="B7" s="67">
        <v>3269.71</v>
      </c>
      <c r="C7" s="68">
        <f t="shared" ref="C7:C8" si="0">B7/157</f>
        <v>20.826178343949046</v>
      </c>
      <c r="D7" s="66"/>
      <c r="E7" s="6">
        <f t="shared" ref="E7:E8" si="1">(((B7)+(B7*0.16))*0.0075)*12</f>
        <v>341.35772400000002</v>
      </c>
      <c r="F7" s="6">
        <f t="shared" ref="F7:F8" si="2">(((B7)+(B7*0.16))*0.018)*12</f>
        <v>819.25853759999995</v>
      </c>
      <c r="G7" s="4">
        <f t="shared" ref="G7:G8" si="3">$G$5*C7</f>
        <v>149.94848407643315</v>
      </c>
      <c r="H7" s="4">
        <f t="shared" ref="H7:H8" si="4">$H$5*C7</f>
        <v>299.89696815286629</v>
      </c>
      <c r="I7" s="4">
        <f t="shared" ref="I7:I8" si="5">$I$5*C7</f>
        <v>449.84545222929944</v>
      </c>
      <c r="J7" s="4">
        <f t="shared" ref="J7:J8" si="6">$J$5*C7</f>
        <v>599.79393630573259</v>
      </c>
      <c r="K7" s="4">
        <f t="shared" ref="K7:K8" si="7">((4*52.17)/2)*C7</f>
        <v>2173.0034484076436</v>
      </c>
      <c r="L7" s="4">
        <f t="shared" ref="L7:L8" si="8">((12*52.17)/2)*C7</f>
        <v>6519.0103452229296</v>
      </c>
      <c r="M7" s="34">
        <f t="shared" ref="M7:M8" si="9">-I7</f>
        <v>-449.84545222929944</v>
      </c>
      <c r="N7" s="34">
        <f t="shared" ref="N7:N8" si="10">-J7</f>
        <v>-599.79393630573259</v>
      </c>
      <c r="O7" s="34">
        <f t="shared" ref="O7:O8" si="11">-K7*0.0833</f>
        <v>-181.01118725235671</v>
      </c>
      <c r="P7" s="34">
        <f t="shared" ref="P7:P8" si="12">-L7*0.0833</f>
        <v>-543.03356175707006</v>
      </c>
      <c r="Q7" s="4">
        <f t="shared" ref="Q7:Q8" si="13">-$Q$4*C7</f>
        <v>-374.87121019108281</v>
      </c>
      <c r="R7" s="55"/>
      <c r="S7" s="4">
        <f t="shared" ref="S7:S8" si="14">$S$2*C7</f>
        <v>1120.4483949044586</v>
      </c>
    </row>
    <row r="8" spans="1:21" x14ac:dyDescent="0.3">
      <c r="A8" s="65" t="s">
        <v>95</v>
      </c>
      <c r="B8" s="67">
        <v>3705.97</v>
      </c>
      <c r="C8" s="68">
        <f t="shared" si="0"/>
        <v>23.604904458598725</v>
      </c>
      <c r="D8" s="66"/>
      <c r="E8" s="6">
        <f t="shared" si="1"/>
        <v>386.90326799999991</v>
      </c>
      <c r="F8" s="6">
        <f t="shared" si="2"/>
        <v>928.56784319999986</v>
      </c>
      <c r="G8" s="4">
        <f t="shared" si="3"/>
        <v>169.95531210191083</v>
      </c>
      <c r="H8" s="4">
        <f t="shared" si="4"/>
        <v>339.91062420382167</v>
      </c>
      <c r="I8" s="4">
        <f t="shared" si="5"/>
        <v>509.86593630573248</v>
      </c>
      <c r="J8" s="4">
        <f t="shared" si="6"/>
        <v>679.82124840764334</v>
      </c>
      <c r="K8" s="4">
        <f t="shared" si="7"/>
        <v>2462.9357312101911</v>
      </c>
      <c r="L8" s="4">
        <f t="shared" si="8"/>
        <v>7388.8071936305723</v>
      </c>
      <c r="M8" s="34">
        <f t="shared" si="9"/>
        <v>-509.86593630573248</v>
      </c>
      <c r="N8" s="34">
        <f t="shared" si="10"/>
        <v>-679.82124840764334</v>
      </c>
      <c r="O8" s="34">
        <f t="shared" si="11"/>
        <v>-205.16254640980893</v>
      </c>
      <c r="P8" s="34">
        <f t="shared" si="12"/>
        <v>-615.48763922942669</v>
      </c>
      <c r="Q8" s="4">
        <f t="shared" si="13"/>
        <v>-424.88828025477704</v>
      </c>
      <c r="R8" s="55"/>
      <c r="S8" s="4">
        <f t="shared" si="14"/>
        <v>1269.9438598726113</v>
      </c>
    </row>
    <row r="9" spans="1:21" x14ac:dyDescent="0.3">
      <c r="A9" s="8" t="s">
        <v>1</v>
      </c>
      <c r="B9" s="4">
        <v>4051.43</v>
      </c>
      <c r="C9" s="4">
        <f>B9/157</f>
        <v>25.80528662420382</v>
      </c>
      <c r="E9" s="6">
        <f>(((B9)+(B9*0.16))*0.0075)*12</f>
        <v>422.969292</v>
      </c>
      <c r="F9" s="6">
        <f>(((B9)+(B9*0.16))*0.018)*12</f>
        <v>1015.1263008000001</v>
      </c>
      <c r="G9" s="4">
        <f>$G$5*C9</f>
        <v>185.79806369426751</v>
      </c>
      <c r="H9" s="4">
        <f>$H$5*C9</f>
        <v>371.59612738853502</v>
      </c>
      <c r="I9" s="4">
        <f>$I$5*C9</f>
        <v>557.39419108280254</v>
      </c>
      <c r="J9" s="4">
        <f>$J$5*C9</f>
        <v>743.19225477707005</v>
      </c>
      <c r="K9" s="4">
        <f>((4*52.17)/2)*C9</f>
        <v>2692.5236063694265</v>
      </c>
      <c r="L9" s="4">
        <f>((12*52.17)/2)*C9</f>
        <v>8077.5708191082795</v>
      </c>
      <c r="M9" s="34">
        <f>-I9</f>
        <v>-557.39419108280254</v>
      </c>
      <c r="N9" s="34">
        <f>-J9</f>
        <v>-743.19225477707005</v>
      </c>
      <c r="O9" s="34">
        <f>-K9*0.0833</f>
        <v>-224.28721641057322</v>
      </c>
      <c r="P9" s="34">
        <f>-L9*0.0833</f>
        <v>-672.86164923171964</v>
      </c>
      <c r="Q9" s="4">
        <f>-$Q$4*C9</f>
        <v>-464.49515923566878</v>
      </c>
      <c r="R9" s="55"/>
      <c r="S9" s="4">
        <f>$S$2*C9</f>
        <v>1388.3244203821655</v>
      </c>
      <c r="T9" s="1"/>
      <c r="U9" s="1"/>
    </row>
    <row r="10" spans="1:21" x14ac:dyDescent="0.3">
      <c r="A10" s="36" t="s">
        <v>2</v>
      </c>
      <c r="B10" s="37">
        <v>4414.6099999999997</v>
      </c>
      <c r="C10" s="37">
        <f t="shared" ref="C10:C18" si="15">B10/157</f>
        <v>28.118535031847131</v>
      </c>
      <c r="E10" s="38">
        <f t="shared" ref="E10:E18" si="16">(((B10)+(B10*0.16))*0.0075)*12</f>
        <v>460.88528399999996</v>
      </c>
      <c r="F10" s="38">
        <f t="shared" ref="F10:F18" si="17">(((B10)+(B10*0.16))*0.018)*12</f>
        <v>1106.1246815999998</v>
      </c>
      <c r="G10" s="37">
        <f t="shared" ref="G10:G18" si="18">$G$5*C10</f>
        <v>202.45345222929936</v>
      </c>
      <c r="H10" s="37">
        <f t="shared" ref="H10:H18" si="19">$H$5*C10</f>
        <v>404.90690445859872</v>
      </c>
      <c r="I10" s="37">
        <f t="shared" ref="I10:I18" si="20">$I$5*C10</f>
        <v>607.36035668789805</v>
      </c>
      <c r="J10" s="37">
        <f t="shared" ref="J10:J18" si="21">$J$5*C10</f>
        <v>809.81380891719743</v>
      </c>
      <c r="K10" s="4">
        <f t="shared" ref="K10:K18" si="22">((4*52.17)/2)*C10</f>
        <v>2933.8879452229298</v>
      </c>
      <c r="L10" s="4">
        <f t="shared" ref="L10:L18" si="23">((12*52.17)/2)*C10</f>
        <v>8801.663835668789</v>
      </c>
      <c r="M10" s="34">
        <f t="shared" ref="M10:M18" si="24">-I10</f>
        <v>-607.36035668789805</v>
      </c>
      <c r="N10" s="34">
        <f t="shared" ref="N10:N18" si="25">-J10</f>
        <v>-809.81380891719743</v>
      </c>
      <c r="O10" s="34">
        <f t="shared" ref="O10:O18" si="26">-K10*0.0833</f>
        <v>-244.39286583707005</v>
      </c>
      <c r="P10" s="34">
        <f t="shared" ref="P10:P18" si="27">-L10*0.0833</f>
        <v>-733.17859751121011</v>
      </c>
      <c r="Q10" s="37">
        <f t="shared" ref="Q10:Q18" si="28">-$Q$4*C10</f>
        <v>-506.13363057324835</v>
      </c>
      <c r="R10" s="55"/>
      <c r="S10" s="37">
        <f t="shared" ref="S10:S18" si="29">$S$2*C10</f>
        <v>1512.7771847133756</v>
      </c>
      <c r="T10" s="1"/>
      <c r="U10" s="1"/>
    </row>
    <row r="11" spans="1:21" x14ac:dyDescent="0.3">
      <c r="A11" s="8" t="s">
        <v>3</v>
      </c>
      <c r="B11" s="4">
        <v>4990.38</v>
      </c>
      <c r="C11" s="4">
        <f t="shared" si="15"/>
        <v>31.785859872611464</v>
      </c>
      <c r="E11" s="6">
        <f t="shared" si="16"/>
        <v>520.99567200000001</v>
      </c>
      <c r="F11" s="6">
        <f t="shared" si="17"/>
        <v>1250.3896127999999</v>
      </c>
      <c r="G11" s="4">
        <f t="shared" si="18"/>
        <v>228.85819108280253</v>
      </c>
      <c r="H11" s="4">
        <f t="shared" si="19"/>
        <v>457.71638216560507</v>
      </c>
      <c r="I11" s="4">
        <f t="shared" si="20"/>
        <v>686.57457324840766</v>
      </c>
      <c r="J11" s="4">
        <f t="shared" si="21"/>
        <v>915.43276433121014</v>
      </c>
      <c r="K11" s="4">
        <f t="shared" si="22"/>
        <v>3316.5366191082803</v>
      </c>
      <c r="L11" s="4">
        <f t="shared" si="23"/>
        <v>9949.60985732484</v>
      </c>
      <c r="M11" s="34">
        <f t="shared" si="24"/>
        <v>-686.57457324840766</v>
      </c>
      <c r="N11" s="34">
        <f t="shared" si="25"/>
        <v>-915.43276433121014</v>
      </c>
      <c r="O11" s="34">
        <f t="shared" si="26"/>
        <v>-276.26750037171973</v>
      </c>
      <c r="P11" s="34">
        <f t="shared" si="27"/>
        <v>-828.8025011151592</v>
      </c>
      <c r="Q11" s="4">
        <f t="shared" si="28"/>
        <v>-572.14547770700631</v>
      </c>
      <c r="R11" s="55"/>
      <c r="S11" s="4">
        <f t="shared" si="29"/>
        <v>1710.0792611464967</v>
      </c>
      <c r="T11" s="1"/>
      <c r="U11" s="1"/>
    </row>
    <row r="12" spans="1:21" x14ac:dyDescent="0.3">
      <c r="A12" s="22" t="s">
        <v>4</v>
      </c>
      <c r="B12" s="23">
        <v>5618.19</v>
      </c>
      <c r="C12" s="23">
        <f t="shared" si="15"/>
        <v>35.784649681528663</v>
      </c>
      <c r="D12" s="24"/>
      <c r="E12" s="25">
        <f t="shared" si="16"/>
        <v>586.5390359999999</v>
      </c>
      <c r="F12" s="25">
        <f t="shared" si="17"/>
        <v>1407.6936863999999</v>
      </c>
      <c r="G12" s="23">
        <f t="shared" si="18"/>
        <v>257.64947770700638</v>
      </c>
      <c r="H12" s="23">
        <f t="shared" si="19"/>
        <v>515.29895541401277</v>
      </c>
      <c r="I12" s="23">
        <f t="shared" si="20"/>
        <v>772.94843312101921</v>
      </c>
      <c r="J12" s="23">
        <f t="shared" si="21"/>
        <v>1030.5979108280255</v>
      </c>
      <c r="K12" s="4">
        <f t="shared" si="22"/>
        <v>3733.7703477707009</v>
      </c>
      <c r="L12" s="4">
        <f t="shared" si="23"/>
        <v>11201.311043312102</v>
      </c>
      <c r="M12" s="34">
        <f t="shared" si="24"/>
        <v>-772.94843312101921</v>
      </c>
      <c r="N12" s="34">
        <f t="shared" si="25"/>
        <v>-1030.5979108280255</v>
      </c>
      <c r="O12" s="34">
        <f t="shared" si="26"/>
        <v>-311.0230699692994</v>
      </c>
      <c r="P12" s="34">
        <f t="shared" si="27"/>
        <v>-933.06920990789808</v>
      </c>
      <c r="Q12" s="23">
        <f t="shared" si="28"/>
        <v>-644.12369426751593</v>
      </c>
      <c r="R12" s="55"/>
      <c r="S12" s="23">
        <f t="shared" si="29"/>
        <v>1925.2141528662419</v>
      </c>
      <c r="T12" s="1"/>
      <c r="U12" s="1"/>
    </row>
    <row r="13" spans="1:21" x14ac:dyDescent="0.3">
      <c r="A13" s="8" t="s">
        <v>5</v>
      </c>
      <c r="B13" s="4">
        <v>6062.2</v>
      </c>
      <c r="C13" s="4">
        <f t="shared" si="15"/>
        <v>38.612738853503181</v>
      </c>
      <c r="E13" s="6">
        <f t="shared" si="16"/>
        <v>632.89368000000002</v>
      </c>
      <c r="F13" s="6">
        <f t="shared" si="17"/>
        <v>1518.9448319999999</v>
      </c>
      <c r="G13" s="4">
        <f t="shared" si="18"/>
        <v>278.01171974522293</v>
      </c>
      <c r="H13" s="4">
        <f t="shared" si="19"/>
        <v>556.02343949044587</v>
      </c>
      <c r="I13" s="4">
        <f t="shared" si="20"/>
        <v>834.03515923566874</v>
      </c>
      <c r="J13" s="4">
        <f t="shared" si="21"/>
        <v>1112.0468789808917</v>
      </c>
      <c r="K13" s="4">
        <f t="shared" si="22"/>
        <v>4028.853171974522</v>
      </c>
      <c r="L13" s="4">
        <f t="shared" si="23"/>
        <v>12086.559515923565</v>
      </c>
      <c r="M13" s="34">
        <f t="shared" si="24"/>
        <v>-834.03515923566874</v>
      </c>
      <c r="N13" s="34">
        <f t="shared" si="25"/>
        <v>-1112.0468789808917</v>
      </c>
      <c r="O13" s="34">
        <f t="shared" si="26"/>
        <v>-335.60346922547768</v>
      </c>
      <c r="P13" s="34">
        <f t="shared" si="27"/>
        <v>-1006.810407676433</v>
      </c>
      <c r="Q13" s="4">
        <f t="shared" si="28"/>
        <v>-695.02929936305725</v>
      </c>
      <c r="R13" s="55"/>
      <c r="S13" s="4">
        <f t="shared" si="29"/>
        <v>2077.365350318471</v>
      </c>
      <c r="T13" s="1"/>
      <c r="U13" s="1"/>
    </row>
    <row r="14" spans="1:21" x14ac:dyDescent="0.3">
      <c r="A14" s="8" t="s">
        <v>6</v>
      </c>
      <c r="B14" s="4">
        <v>6575.97</v>
      </c>
      <c r="C14" s="4">
        <f t="shared" si="15"/>
        <v>41.885159235668795</v>
      </c>
      <c r="E14" s="6">
        <f t="shared" si="16"/>
        <v>686.53126800000007</v>
      </c>
      <c r="F14" s="6">
        <f t="shared" si="17"/>
        <v>1647.6750431999999</v>
      </c>
      <c r="G14" s="4">
        <f t="shared" si="18"/>
        <v>301.57314649681535</v>
      </c>
      <c r="H14" s="4">
        <f t="shared" si="19"/>
        <v>603.14629299363071</v>
      </c>
      <c r="I14" s="4">
        <f t="shared" si="20"/>
        <v>904.71943949044601</v>
      </c>
      <c r="J14" s="4">
        <f t="shared" si="21"/>
        <v>1206.2925859872614</v>
      </c>
      <c r="K14" s="4">
        <f t="shared" si="22"/>
        <v>4370.2975146496819</v>
      </c>
      <c r="L14" s="4">
        <f t="shared" si="23"/>
        <v>13110.892543949045</v>
      </c>
      <c r="M14" s="34">
        <f t="shared" si="24"/>
        <v>-904.71943949044601</v>
      </c>
      <c r="N14" s="34">
        <f t="shared" si="25"/>
        <v>-1206.2925859872614</v>
      </c>
      <c r="O14" s="34">
        <f t="shared" si="26"/>
        <v>-364.0457829703185</v>
      </c>
      <c r="P14" s="34">
        <f t="shared" si="27"/>
        <v>-1092.1373489109553</v>
      </c>
      <c r="Q14" s="4">
        <f t="shared" si="28"/>
        <v>-753.93286624203824</v>
      </c>
      <c r="R14" s="55"/>
      <c r="S14" s="4">
        <f t="shared" si="29"/>
        <v>2253.4215668789811</v>
      </c>
      <c r="T14" s="1"/>
      <c r="U14" s="1"/>
    </row>
    <row r="15" spans="1:21" x14ac:dyDescent="0.3">
      <c r="A15" s="31" t="s">
        <v>7</v>
      </c>
      <c r="B15" s="32">
        <v>7418.59</v>
      </c>
      <c r="C15" s="32">
        <f t="shared" si="15"/>
        <v>47.252165605095541</v>
      </c>
      <c r="D15" s="26"/>
      <c r="E15" s="33">
        <f t="shared" si="16"/>
        <v>774.50079599999992</v>
      </c>
      <c r="F15" s="33">
        <f t="shared" si="17"/>
        <v>1858.8019103999995</v>
      </c>
      <c r="G15" s="32">
        <f t="shared" si="18"/>
        <v>340.21559235668792</v>
      </c>
      <c r="H15" s="32">
        <f t="shared" si="19"/>
        <v>680.43118471337584</v>
      </c>
      <c r="I15" s="32">
        <f t="shared" si="20"/>
        <v>1020.6467770700638</v>
      </c>
      <c r="J15" s="32">
        <f t="shared" si="21"/>
        <v>1360.8623694267517</v>
      </c>
      <c r="K15" s="4">
        <f t="shared" si="22"/>
        <v>4930.2909592356691</v>
      </c>
      <c r="L15" s="4">
        <f t="shared" si="23"/>
        <v>14790.872877707006</v>
      </c>
      <c r="M15" s="34">
        <f t="shared" si="24"/>
        <v>-1020.6467770700638</v>
      </c>
      <c r="N15" s="34">
        <f t="shared" si="25"/>
        <v>-1360.8623694267517</v>
      </c>
      <c r="O15" s="34">
        <f t="shared" si="26"/>
        <v>-410.69323690433123</v>
      </c>
      <c r="P15" s="34">
        <f t="shared" si="27"/>
        <v>-1232.0797107129936</v>
      </c>
      <c r="Q15" s="32">
        <f t="shared" si="28"/>
        <v>-850.5389808917198</v>
      </c>
      <c r="R15" s="55"/>
      <c r="S15" s="32">
        <f t="shared" si="29"/>
        <v>2542.1665095541398</v>
      </c>
      <c r="T15" s="1"/>
      <c r="U15" s="1"/>
    </row>
    <row r="16" spans="1:21" x14ac:dyDescent="0.3">
      <c r="A16" s="8" t="s">
        <v>8</v>
      </c>
      <c r="B16" s="4">
        <v>8123.9</v>
      </c>
      <c r="C16" s="4">
        <f t="shared" si="15"/>
        <v>51.744585987261146</v>
      </c>
      <c r="E16" s="6">
        <f t="shared" si="16"/>
        <v>848.13516000000004</v>
      </c>
      <c r="F16" s="6">
        <f t="shared" si="17"/>
        <v>2035.5243839999998</v>
      </c>
      <c r="G16" s="4">
        <f t="shared" si="18"/>
        <v>372.56101910828028</v>
      </c>
      <c r="H16" s="4">
        <f t="shared" si="19"/>
        <v>745.12203821656055</v>
      </c>
      <c r="I16" s="4">
        <f t="shared" si="20"/>
        <v>1117.6830573248408</v>
      </c>
      <c r="J16" s="4">
        <f t="shared" si="21"/>
        <v>1490.2440764331211</v>
      </c>
      <c r="K16" s="4">
        <f t="shared" si="22"/>
        <v>5399.0301019108283</v>
      </c>
      <c r="L16" s="4">
        <f t="shared" si="23"/>
        <v>16197.090305732483</v>
      </c>
      <c r="M16" s="34">
        <f t="shared" si="24"/>
        <v>-1117.6830573248408</v>
      </c>
      <c r="N16" s="34">
        <f t="shared" si="25"/>
        <v>-1490.2440764331211</v>
      </c>
      <c r="O16" s="34">
        <f t="shared" si="26"/>
        <v>-449.73920748917197</v>
      </c>
      <c r="P16" s="34">
        <f t="shared" si="27"/>
        <v>-1349.2176224675159</v>
      </c>
      <c r="Q16" s="4">
        <f t="shared" si="28"/>
        <v>-931.40254777070061</v>
      </c>
      <c r="R16" s="55"/>
      <c r="S16" s="4">
        <f t="shared" si="29"/>
        <v>2783.8587261146495</v>
      </c>
      <c r="T16" s="1"/>
      <c r="U16" s="1"/>
    </row>
    <row r="17" spans="1:21" x14ac:dyDescent="0.3">
      <c r="A17" s="8" t="s">
        <v>9</v>
      </c>
      <c r="B17" s="4">
        <v>8901.2000000000007</v>
      </c>
      <c r="C17" s="4">
        <f t="shared" si="15"/>
        <v>56.695541401273893</v>
      </c>
      <c r="E17" s="6">
        <f t="shared" si="16"/>
        <v>929.28528000000006</v>
      </c>
      <c r="F17" s="6">
        <f t="shared" si="17"/>
        <v>2230.2846720000002</v>
      </c>
      <c r="G17" s="4">
        <f t="shared" si="18"/>
        <v>408.20789808917203</v>
      </c>
      <c r="H17" s="4">
        <f t="shared" si="19"/>
        <v>816.41579617834407</v>
      </c>
      <c r="I17" s="4">
        <f t="shared" si="20"/>
        <v>1224.6236942675162</v>
      </c>
      <c r="J17" s="4">
        <f t="shared" si="21"/>
        <v>1632.8315923566881</v>
      </c>
      <c r="K17" s="4">
        <f t="shared" si="22"/>
        <v>5915.612789808918</v>
      </c>
      <c r="L17" s="4">
        <f t="shared" si="23"/>
        <v>17746.838369426754</v>
      </c>
      <c r="M17" s="34">
        <f t="shared" si="24"/>
        <v>-1224.6236942675162</v>
      </c>
      <c r="N17" s="34">
        <f t="shared" si="25"/>
        <v>-1632.8315923566881</v>
      </c>
      <c r="O17" s="34">
        <f t="shared" si="26"/>
        <v>-492.77054539108286</v>
      </c>
      <c r="P17" s="34">
        <f t="shared" si="27"/>
        <v>-1478.3116361732486</v>
      </c>
      <c r="Q17" s="4">
        <f t="shared" si="28"/>
        <v>-1020.5197452229301</v>
      </c>
      <c r="R17" s="55"/>
      <c r="S17" s="4">
        <f t="shared" si="29"/>
        <v>3050.2201273885353</v>
      </c>
      <c r="T17" s="1"/>
      <c r="U17" s="1"/>
    </row>
    <row r="18" spans="1:21" x14ac:dyDescent="0.3">
      <c r="A18" s="8" t="s">
        <v>10</v>
      </c>
      <c r="B18" s="4">
        <v>9633.09</v>
      </c>
      <c r="C18" s="4">
        <f t="shared" si="15"/>
        <v>61.357261146496818</v>
      </c>
      <c r="E18" s="6">
        <f t="shared" si="16"/>
        <v>1005.694596</v>
      </c>
      <c r="F18" s="6">
        <f t="shared" si="17"/>
        <v>2413.6670303999999</v>
      </c>
      <c r="G18" s="4">
        <f t="shared" si="18"/>
        <v>441.77228025477712</v>
      </c>
      <c r="H18" s="4">
        <f t="shared" si="19"/>
        <v>883.54456050955423</v>
      </c>
      <c r="I18" s="4">
        <f t="shared" si="20"/>
        <v>1325.3168407643313</v>
      </c>
      <c r="J18" s="4">
        <f t="shared" si="21"/>
        <v>1767.0891210191085</v>
      </c>
      <c r="K18" s="4">
        <f t="shared" si="22"/>
        <v>6402.016628025478</v>
      </c>
      <c r="L18" s="4">
        <f t="shared" si="23"/>
        <v>19206.049884076434</v>
      </c>
      <c r="M18" s="34">
        <f t="shared" si="24"/>
        <v>-1325.3168407643313</v>
      </c>
      <c r="N18" s="34">
        <f t="shared" si="25"/>
        <v>-1767.0891210191085</v>
      </c>
      <c r="O18" s="34">
        <f t="shared" si="26"/>
        <v>-533.28798511452226</v>
      </c>
      <c r="P18" s="34">
        <f t="shared" si="27"/>
        <v>-1599.8639553435669</v>
      </c>
      <c r="Q18" s="4">
        <f t="shared" si="28"/>
        <v>-1104.4307006369427</v>
      </c>
      <c r="R18" s="55"/>
      <c r="S18" s="4">
        <f t="shared" si="29"/>
        <v>3301.0206496815285</v>
      </c>
      <c r="T18" s="1"/>
      <c r="U18" s="1"/>
    </row>
    <row r="19" spans="1:21" x14ac:dyDescent="0.3">
      <c r="K19" s="30" t="s">
        <v>46</v>
      </c>
      <c r="L19" s="30"/>
      <c r="M19" s="30"/>
      <c r="N19" s="30"/>
      <c r="O19" s="30"/>
      <c r="P19" s="30"/>
    </row>
    <row r="20" spans="1:21" x14ac:dyDescent="0.3">
      <c r="K20" s="30"/>
      <c r="L20" s="30"/>
      <c r="M20" s="30"/>
      <c r="N20" s="30"/>
      <c r="O20" s="30"/>
      <c r="P20" s="30"/>
    </row>
    <row r="21" spans="1:21" x14ac:dyDescent="0.3">
      <c r="A21" t="s">
        <v>57</v>
      </c>
      <c r="K21" s="30"/>
      <c r="L21" s="30"/>
      <c r="M21" s="30"/>
      <c r="N21" s="30"/>
      <c r="O21" s="30"/>
      <c r="P21" s="30"/>
    </row>
    <row r="22" spans="1:21" x14ac:dyDescent="0.3">
      <c r="A22" s="36" t="s">
        <v>2</v>
      </c>
      <c r="B22" s="37">
        <v>4414.6099999999997</v>
      </c>
      <c r="C22" s="37">
        <f t="shared" ref="C22" si="30">B22/157</f>
        <v>28.118535031847131</v>
      </c>
      <c r="E22" s="38">
        <f t="shared" ref="E22" si="31">(((B22)+(B22*0.16))*0.0075)*12</f>
        <v>460.88528399999996</v>
      </c>
      <c r="F22" s="38">
        <f t="shared" ref="F22" si="32">(((B22)+(B22*0.16))*0.018)*12</f>
        <v>1106.1246815999998</v>
      </c>
      <c r="G22" s="37">
        <f t="shared" ref="G22" si="33">$G$5*C22</f>
        <v>202.45345222929936</v>
      </c>
      <c r="H22" s="48"/>
      <c r="I22" s="48"/>
      <c r="J22" s="48"/>
      <c r="K22" s="48"/>
      <c r="L22" s="48"/>
      <c r="M22" s="48"/>
      <c r="N22" s="48"/>
      <c r="O22" s="48"/>
      <c r="P22" s="48"/>
      <c r="Q22" s="37">
        <f>Q10</f>
        <v>-506.13363057324835</v>
      </c>
      <c r="S22" s="37">
        <f>S10</f>
        <v>1512.7771847133756</v>
      </c>
    </row>
    <row r="23" spans="1:21" x14ac:dyDescent="0.3">
      <c r="A23" s="39"/>
      <c r="B23" s="40"/>
      <c r="C23" s="40"/>
      <c r="D23" s="27"/>
      <c r="E23" t="s">
        <v>36</v>
      </c>
      <c r="G23" s="1">
        <f>E22++F22+H22+Q22</f>
        <v>1060.8763350267513</v>
      </c>
      <c r="H23" t="s">
        <v>39</v>
      </c>
      <c r="J23" t="s">
        <v>56</v>
      </c>
    </row>
    <row r="25" spans="1:21" x14ac:dyDescent="0.3">
      <c r="A25" t="s">
        <v>34</v>
      </c>
    </row>
    <row r="26" spans="1:21" x14ac:dyDescent="0.3">
      <c r="A26" s="22" t="s">
        <v>4</v>
      </c>
      <c r="B26" s="23">
        <v>5618.19</v>
      </c>
      <c r="C26" s="23">
        <f t="shared" ref="C26" si="34">B26/157</f>
        <v>35.784649681528663</v>
      </c>
      <c r="E26" s="25">
        <f t="shared" ref="E26" si="35">(((B26)+(B26*0.16))*0.0075)*12</f>
        <v>586.5390359999999</v>
      </c>
      <c r="F26" s="25"/>
      <c r="G26" s="23">
        <v>0</v>
      </c>
      <c r="H26" s="23">
        <f t="shared" ref="H26" si="36">$H$5*C26</f>
        <v>515.29895541401277</v>
      </c>
      <c r="I26" s="22"/>
      <c r="J26" s="22"/>
      <c r="K26" s="22"/>
      <c r="L26" s="22"/>
      <c r="M26" s="22"/>
      <c r="N26" s="22"/>
      <c r="O26" s="22"/>
      <c r="P26" s="22"/>
      <c r="Q26" s="23">
        <f>-$Q$4*C26</f>
        <v>-644.12369426751593</v>
      </c>
      <c r="S26" s="23">
        <f t="shared" ref="S26" si="37">$S$2*C26</f>
        <v>1925.2141528662419</v>
      </c>
    </row>
    <row r="27" spans="1:21" x14ac:dyDescent="0.3">
      <c r="E27" t="s">
        <v>36</v>
      </c>
      <c r="G27" s="1">
        <f>E26++F26+H26+Q26</f>
        <v>457.71429714649685</v>
      </c>
      <c r="H27" t="s">
        <v>39</v>
      </c>
      <c r="J27" t="s">
        <v>56</v>
      </c>
    </row>
    <row r="29" spans="1:21" x14ac:dyDescent="0.3">
      <c r="A29" t="s">
        <v>38</v>
      </c>
    </row>
    <row r="30" spans="1:21" x14ac:dyDescent="0.3">
      <c r="A30" s="31" t="s">
        <v>7</v>
      </c>
      <c r="B30" s="32">
        <v>7418.59</v>
      </c>
      <c r="C30" s="32">
        <f t="shared" ref="C30" si="38">B30/157</f>
        <v>47.252165605095541</v>
      </c>
      <c r="E30" s="33">
        <f t="shared" ref="E30" si="39">(((B30)+(B30*0.16))*0.0075)*12</f>
        <v>774.50079599999992</v>
      </c>
      <c r="F30" s="33" t="s">
        <v>35</v>
      </c>
      <c r="G30" s="32">
        <v>0</v>
      </c>
      <c r="H30" s="32">
        <v>0</v>
      </c>
      <c r="I30" s="32">
        <f t="shared" ref="I30" si="40">$I$5*C30</f>
        <v>1020.6467770700638</v>
      </c>
      <c r="J30" s="32">
        <v>0</v>
      </c>
      <c r="K30" s="32"/>
      <c r="L30" s="32"/>
      <c r="M30" s="32"/>
      <c r="N30" s="32"/>
      <c r="O30" s="32"/>
      <c r="P30" s="32"/>
      <c r="Q30" s="32">
        <f>-$Q$4*C30</f>
        <v>-850.5389808917198</v>
      </c>
      <c r="S30" s="32">
        <f t="shared" ref="S30" si="41">$S$2*C30</f>
        <v>2542.1665095541398</v>
      </c>
    </row>
    <row r="31" spans="1:21" x14ac:dyDescent="0.3">
      <c r="E31" t="s">
        <v>72</v>
      </c>
      <c r="G31" s="1">
        <f>E30+I30+Q30</f>
        <v>944.60859217834377</v>
      </c>
      <c r="H31" t="s">
        <v>39</v>
      </c>
    </row>
    <row r="33" spans="1:6" x14ac:dyDescent="0.3">
      <c r="A33" t="s">
        <v>42</v>
      </c>
    </row>
    <row r="34" spans="1:6" x14ac:dyDescent="0.3">
      <c r="A34" s="2" t="s">
        <v>52</v>
      </c>
    </row>
    <row r="35" spans="1:6" x14ac:dyDescent="0.3">
      <c r="A35" t="s">
        <v>79</v>
      </c>
    </row>
    <row r="36" spans="1:6" x14ac:dyDescent="0.3">
      <c r="A36" t="s">
        <v>84</v>
      </c>
    </row>
    <row r="37" spans="1:6" x14ac:dyDescent="0.3">
      <c r="A37" t="s">
        <v>85</v>
      </c>
    </row>
    <row r="38" spans="1:6" x14ac:dyDescent="0.3">
      <c r="A38" t="s">
        <v>90</v>
      </c>
    </row>
    <row r="39" spans="1:6" x14ac:dyDescent="0.3">
      <c r="A39" t="s">
        <v>86</v>
      </c>
    </row>
    <row r="40" spans="1:6" x14ac:dyDescent="0.3">
      <c r="A40" t="s">
        <v>87</v>
      </c>
    </row>
    <row r="41" spans="1:6" x14ac:dyDescent="0.3">
      <c r="B41" s="49" t="s">
        <v>73</v>
      </c>
    </row>
    <row r="42" spans="1:6" x14ac:dyDescent="0.3">
      <c r="B42" s="49" t="s">
        <v>74</v>
      </c>
    </row>
    <row r="43" spans="1:6" x14ac:dyDescent="0.3">
      <c r="B43" s="49" t="s">
        <v>75</v>
      </c>
    </row>
    <row r="44" spans="1:6" x14ac:dyDescent="0.3">
      <c r="B44" s="49" t="s">
        <v>76</v>
      </c>
    </row>
    <row r="45" spans="1:6" x14ac:dyDescent="0.3">
      <c r="B45" s="49" t="s">
        <v>77</v>
      </c>
    </row>
    <row r="46" spans="1:6" x14ac:dyDescent="0.3">
      <c r="B46" s="49" t="s">
        <v>78</v>
      </c>
    </row>
    <row r="47" spans="1:6" x14ac:dyDescent="0.3">
      <c r="B47" s="49"/>
    </row>
    <row r="48" spans="1:6" x14ac:dyDescent="0.3">
      <c r="A48" s="8" t="s">
        <v>88</v>
      </c>
      <c r="B48" s="70"/>
      <c r="C48" s="8"/>
      <c r="D48" s="8"/>
      <c r="E48" s="8"/>
      <c r="F48" s="8"/>
    </row>
    <row r="49" spans="1:6" x14ac:dyDescent="0.3">
      <c r="A49" s="8" t="s">
        <v>96</v>
      </c>
      <c r="B49" s="8"/>
      <c r="C49" s="8"/>
      <c r="D49" s="8"/>
      <c r="E49" s="8"/>
      <c r="F49" s="8"/>
    </row>
    <row r="50" spans="1:6" ht="28.8" x14ac:dyDescent="0.3">
      <c r="A50" s="7" t="s">
        <v>91</v>
      </c>
      <c r="B50" s="50" t="s">
        <v>80</v>
      </c>
      <c r="C50" s="7" t="s">
        <v>81</v>
      </c>
      <c r="D50" s="7"/>
      <c r="E50" s="35" t="s">
        <v>83</v>
      </c>
      <c r="F50" s="35" t="s">
        <v>82</v>
      </c>
    </row>
    <row r="51" spans="1:6" x14ac:dyDescent="0.3">
      <c r="A51" s="65" t="s">
        <v>93</v>
      </c>
      <c r="B51" s="67">
        <v>3016.15</v>
      </c>
      <c r="C51" s="68">
        <v>2221.0300000000002</v>
      </c>
      <c r="D51" s="68"/>
      <c r="E51" s="69">
        <v>2126</v>
      </c>
      <c r="F51" s="69">
        <v>1936.91</v>
      </c>
    </row>
    <row r="52" spans="1:6" x14ac:dyDescent="0.3">
      <c r="A52" s="65" t="s">
        <v>94</v>
      </c>
      <c r="B52" s="67">
        <v>3269.71</v>
      </c>
      <c r="C52" s="68">
        <v>2338.3200000000002</v>
      </c>
      <c r="D52" s="68"/>
      <c r="E52" s="69">
        <v>2247.36</v>
      </c>
      <c r="F52" s="69">
        <v>2043.18</v>
      </c>
    </row>
    <row r="53" spans="1:6" x14ac:dyDescent="0.3">
      <c r="A53" s="65" t="s">
        <v>95</v>
      </c>
      <c r="B53" s="67">
        <v>3705.97</v>
      </c>
      <c r="C53" s="68">
        <v>2540.66</v>
      </c>
      <c r="D53" s="68"/>
      <c r="E53" s="69">
        <v>2436.5300000000002</v>
      </c>
      <c r="F53" s="69">
        <v>2228.6999999999998</v>
      </c>
    </row>
    <row r="54" spans="1:6" x14ac:dyDescent="0.3">
      <c r="A54" s="8" t="s">
        <v>1</v>
      </c>
      <c r="B54" s="4">
        <v>4051.43</v>
      </c>
      <c r="C54" s="4">
        <v>2702.07</v>
      </c>
      <c r="D54" s="4"/>
      <c r="E54" s="6">
        <v>2587.64</v>
      </c>
      <c r="F54" s="6">
        <v>2359.11</v>
      </c>
    </row>
    <row r="55" spans="1:6" x14ac:dyDescent="0.3">
      <c r="A55" s="51" t="s">
        <v>2</v>
      </c>
      <c r="B55" s="52">
        <v>4414.6099999999997</v>
      </c>
      <c r="C55" s="4">
        <v>2870.78</v>
      </c>
      <c r="D55" s="4"/>
      <c r="E55" s="6">
        <v>2747.16</v>
      </c>
      <c r="F55" s="6">
        <v>2498.27</v>
      </c>
    </row>
    <row r="56" spans="1:6" x14ac:dyDescent="0.3">
      <c r="A56" s="51" t="s">
        <v>3</v>
      </c>
      <c r="B56" s="52">
        <v>4990.38</v>
      </c>
      <c r="C56" s="4">
        <v>3139.01</v>
      </c>
      <c r="D56" s="4"/>
      <c r="E56" s="6">
        <v>2998.87</v>
      </c>
      <c r="F56" s="6">
        <v>2717.02</v>
      </c>
    </row>
    <row r="57" spans="1:6" x14ac:dyDescent="0.3">
      <c r="A57" s="51" t="s">
        <v>4</v>
      </c>
      <c r="B57" s="52">
        <v>5618.19</v>
      </c>
      <c r="C57" s="4">
        <v>3430.42</v>
      </c>
      <c r="D57" s="4"/>
      <c r="E57" s="6">
        <v>3271.05</v>
      </c>
      <c r="F57" s="6">
        <v>2954.87</v>
      </c>
    </row>
    <row r="58" spans="1:6" x14ac:dyDescent="0.3">
      <c r="A58" s="51" t="s">
        <v>5</v>
      </c>
      <c r="B58" s="52">
        <v>6062.2</v>
      </c>
      <c r="C58" s="4">
        <v>3637.76</v>
      </c>
      <c r="D58" s="4"/>
      <c r="E58" s="6">
        <v>3466.95</v>
      </c>
      <c r="F58" s="6">
        <v>3123.61</v>
      </c>
    </row>
    <row r="59" spans="1:6" x14ac:dyDescent="0.3">
      <c r="A59" s="51" t="s">
        <v>6</v>
      </c>
      <c r="B59" s="52">
        <v>6575.97</v>
      </c>
      <c r="C59" s="4">
        <v>3841.61</v>
      </c>
      <c r="D59" s="4"/>
      <c r="E59" s="6">
        <v>3686.49</v>
      </c>
      <c r="F59" s="6">
        <v>3320.23</v>
      </c>
    </row>
    <row r="60" spans="1:6" x14ac:dyDescent="0.3">
      <c r="A60" s="51" t="s">
        <v>7</v>
      </c>
      <c r="B60" s="52">
        <v>7418.59</v>
      </c>
      <c r="C60" s="4">
        <v>4169.1400000000003</v>
      </c>
      <c r="D60" s="4"/>
      <c r="E60" s="6">
        <v>3993.17</v>
      </c>
      <c r="F60" s="6">
        <v>3639.29</v>
      </c>
    </row>
    <row r="61" spans="1:6" x14ac:dyDescent="0.3">
      <c r="A61" s="8" t="s">
        <v>8</v>
      </c>
      <c r="B61" s="4">
        <v>8123.9</v>
      </c>
      <c r="C61" s="4">
        <v>4457.68</v>
      </c>
      <c r="D61" s="4"/>
      <c r="E61" s="6">
        <v>4267.99</v>
      </c>
      <c r="F61" s="6">
        <v>3885.18</v>
      </c>
    </row>
    <row r="62" spans="1:6" x14ac:dyDescent="0.3">
      <c r="A62" s="8" t="s">
        <v>9</v>
      </c>
      <c r="B62" s="4">
        <v>8901.2000000000007</v>
      </c>
      <c r="C62" s="4">
        <v>4833.3100000000004</v>
      </c>
      <c r="D62" s="4"/>
      <c r="E62" s="6">
        <v>4594.51</v>
      </c>
      <c r="F62" s="6">
        <v>4174.38</v>
      </c>
    </row>
    <row r="63" spans="1:6" x14ac:dyDescent="0.3">
      <c r="A63" s="8" t="s">
        <v>10</v>
      </c>
      <c r="B63" s="4">
        <v>9633.09</v>
      </c>
      <c r="C63" s="4">
        <v>5187.6499999999996</v>
      </c>
      <c r="D63" s="4"/>
      <c r="E63" s="6">
        <v>4929.2299999999996</v>
      </c>
      <c r="F63" s="6">
        <v>4417.62</v>
      </c>
    </row>
    <row r="64" spans="1:6" x14ac:dyDescent="0.3">
      <c r="B64" s="49"/>
    </row>
    <row r="65" spans="1:24" x14ac:dyDescent="0.3">
      <c r="A65" s="2" t="s">
        <v>89</v>
      </c>
      <c r="B65" s="49"/>
    </row>
    <row r="68" spans="1:24" x14ac:dyDescent="0.3">
      <c r="E68" s="7" t="s">
        <v>40</v>
      </c>
      <c r="F68" s="8"/>
      <c r="G68" s="43"/>
      <c r="H68" s="44"/>
      <c r="J68" s="2" t="s">
        <v>53</v>
      </c>
    </row>
    <row r="69" spans="1:24" x14ac:dyDescent="0.3">
      <c r="E69" s="57" t="s">
        <v>23</v>
      </c>
      <c r="F69" s="57"/>
      <c r="G69" s="14"/>
      <c r="J69" t="s">
        <v>54</v>
      </c>
    </row>
    <row r="70" spans="1:24" x14ac:dyDescent="0.3">
      <c r="J70" t="s">
        <v>55</v>
      </c>
    </row>
    <row r="71" spans="1:24" ht="43.2" x14ac:dyDescent="0.3">
      <c r="E71" s="45" t="s">
        <v>24</v>
      </c>
      <c r="F71" s="5" t="s">
        <v>26</v>
      </c>
      <c r="G71" s="5" t="s">
        <v>28</v>
      </c>
      <c r="H71" s="3" t="s">
        <v>27</v>
      </c>
      <c r="J71" s="3" t="s">
        <v>24</v>
      </c>
      <c r="K71" s="3" t="s">
        <v>58</v>
      </c>
      <c r="L71" s="53" t="s">
        <v>60</v>
      </c>
      <c r="W71" s="3" t="s">
        <v>71</v>
      </c>
      <c r="X71" s="7" t="s">
        <v>70</v>
      </c>
    </row>
    <row r="72" spans="1:24" x14ac:dyDescent="0.3">
      <c r="E72" s="19" t="s">
        <v>22</v>
      </c>
      <c r="F72" s="8"/>
      <c r="G72" s="8"/>
      <c r="H72" s="8"/>
      <c r="J72" s="11" t="s">
        <v>22</v>
      </c>
      <c r="K72" s="7" t="s">
        <v>59</v>
      </c>
      <c r="L72" s="54"/>
      <c r="W72" s="8"/>
      <c r="X72" s="8"/>
    </row>
    <row r="73" spans="1:24" x14ac:dyDescent="0.3">
      <c r="E73" s="8">
        <v>46</v>
      </c>
      <c r="F73" s="8" t="s">
        <v>25</v>
      </c>
      <c r="G73" s="19">
        <f>(67.25-(E73+1))</f>
        <v>20.25</v>
      </c>
      <c r="H73" s="8">
        <f>(67.25-(E73+1))*$S$2</f>
        <v>1089.45</v>
      </c>
      <c r="J73" s="8">
        <v>46</v>
      </c>
      <c r="K73" s="41">
        <v>32325</v>
      </c>
      <c r="L73" s="42">
        <f>((21 * 53.8) - (21 * 14) - (21 * 25.032) - (2 * 7.2) - (0 * 14.4) - (0 * 21.6) - (0 * 28.8)) * 36/36</f>
        <v>295.72799999999995</v>
      </c>
      <c r="M73" s="8"/>
      <c r="N73" s="8" t="s">
        <v>61</v>
      </c>
      <c r="O73" s="8"/>
      <c r="P73" s="8"/>
      <c r="Q73" s="8"/>
      <c r="R73" s="8"/>
      <c r="S73" s="8"/>
      <c r="T73" s="8"/>
      <c r="U73" s="8"/>
      <c r="V73" s="46"/>
      <c r="W73" s="42">
        <f>H73+L73</f>
        <v>1385.1779999999999</v>
      </c>
      <c r="X73" s="47">
        <f>W73/36</f>
        <v>38.477166666666662</v>
      </c>
    </row>
    <row r="74" spans="1:24" x14ac:dyDescent="0.3">
      <c r="E74" s="8">
        <v>47</v>
      </c>
      <c r="F74" s="8" t="s">
        <v>25</v>
      </c>
      <c r="G74" s="19">
        <f t="shared" ref="G74:G81" si="42">(67.25-(E74+1))</f>
        <v>19.25</v>
      </c>
      <c r="H74" s="8">
        <f t="shared" ref="H74:H81" si="43">(67.25-(E74+1))*$S$2</f>
        <v>1035.6499999999999</v>
      </c>
      <c r="J74" s="8">
        <v>47</v>
      </c>
      <c r="K74" s="41">
        <v>31959</v>
      </c>
      <c r="L74" s="42">
        <f>((22 * 53.8) - (22 * 14) - (22 * 25.032) - (3 * 7.2) - (0 * 14.4) - (0 * 21.6) - (0 * 28.8)) * 36/36</f>
        <v>303.29599999999994</v>
      </c>
      <c r="M74" s="8"/>
      <c r="N74" s="8" t="s">
        <v>62</v>
      </c>
      <c r="O74" s="8"/>
      <c r="P74" s="8"/>
      <c r="Q74" s="8"/>
      <c r="R74" s="8"/>
      <c r="S74" s="8"/>
      <c r="T74" s="8"/>
      <c r="U74" s="8"/>
      <c r="V74" s="46"/>
      <c r="W74" s="42">
        <f t="shared" ref="W74:W81" si="44">H74+L74</f>
        <v>1338.9459999999999</v>
      </c>
      <c r="X74" s="47">
        <f t="shared" ref="X74:X81" si="45">W74/36</f>
        <v>37.192944444444443</v>
      </c>
    </row>
    <row r="75" spans="1:24" x14ac:dyDescent="0.3">
      <c r="E75" s="8">
        <v>48</v>
      </c>
      <c r="F75" s="8" t="s">
        <v>25</v>
      </c>
      <c r="G75" s="19">
        <f t="shared" si="42"/>
        <v>18.25</v>
      </c>
      <c r="H75" s="8">
        <f t="shared" si="43"/>
        <v>981.84999999999991</v>
      </c>
      <c r="J75" s="8">
        <v>48</v>
      </c>
      <c r="K75" s="41">
        <v>31594</v>
      </c>
      <c r="L75" s="42">
        <f>((23 * 53.8) - (23 * 14) - (23 * 25.032) - (4 * 7.2) - (0 * 14.4) - (0 * 21.6) - (0 * 28.8)) * 36/36</f>
        <v>310.86399999999986</v>
      </c>
      <c r="M75" s="8"/>
      <c r="N75" s="8" t="s">
        <v>63</v>
      </c>
      <c r="O75" s="8"/>
      <c r="P75" s="8"/>
      <c r="Q75" s="8"/>
      <c r="R75" s="8"/>
      <c r="S75" s="8"/>
      <c r="T75" s="8"/>
      <c r="U75" s="8"/>
      <c r="V75" s="46"/>
      <c r="W75" s="42">
        <f t="shared" si="44"/>
        <v>1292.7139999999997</v>
      </c>
      <c r="X75" s="47">
        <f t="shared" si="45"/>
        <v>35.908722222222217</v>
      </c>
    </row>
    <row r="76" spans="1:24" x14ac:dyDescent="0.3">
      <c r="E76" s="8">
        <v>49</v>
      </c>
      <c r="F76" s="8" t="s">
        <v>25</v>
      </c>
      <c r="G76" s="19">
        <f t="shared" si="42"/>
        <v>17.25</v>
      </c>
      <c r="H76" s="8">
        <f t="shared" si="43"/>
        <v>928.05</v>
      </c>
      <c r="J76" s="8">
        <v>49</v>
      </c>
      <c r="K76" s="41">
        <v>31229</v>
      </c>
      <c r="L76" s="42">
        <f>((24 * 53.8) - (24 * 14) - (24 * 25.032) - (5 * 7.2) - (0 * 14.4) - (0 * 21.6) - (0 * 28.8)) *36/36</f>
        <v>318.43199999999979</v>
      </c>
      <c r="M76" s="8"/>
      <c r="N76" s="8" t="s">
        <v>64</v>
      </c>
      <c r="O76" s="8"/>
      <c r="P76" s="8"/>
      <c r="Q76" s="8"/>
      <c r="R76" s="8"/>
      <c r="S76" s="8"/>
      <c r="T76" s="8"/>
      <c r="U76" s="8"/>
      <c r="V76" s="46"/>
      <c r="W76" s="42">
        <f t="shared" si="44"/>
        <v>1246.4819999999997</v>
      </c>
      <c r="X76" s="47">
        <f t="shared" si="45"/>
        <v>34.624499999999991</v>
      </c>
    </row>
    <row r="77" spans="1:24" x14ac:dyDescent="0.3">
      <c r="E77" s="8">
        <v>50</v>
      </c>
      <c r="F77" s="8" t="s">
        <v>25</v>
      </c>
      <c r="G77" s="19">
        <f t="shared" si="42"/>
        <v>16.25</v>
      </c>
      <c r="H77" s="8">
        <f t="shared" si="43"/>
        <v>874.25</v>
      </c>
      <c r="J77" s="8">
        <v>50</v>
      </c>
      <c r="K77" s="41">
        <v>30864</v>
      </c>
      <c r="L77" s="42">
        <f>((25 * 53.8) - (25 * 14) - (25 * 25.032) - (5 * 7.2) - (1 * 14.4) - (0 * 21.6) - (0 * 28.8)) * 36/36</f>
        <v>318.80000000000007</v>
      </c>
      <c r="M77" s="8"/>
      <c r="N77" s="8" t="s">
        <v>65</v>
      </c>
      <c r="O77" s="8"/>
      <c r="P77" s="8"/>
      <c r="Q77" s="8"/>
      <c r="R77" s="8"/>
      <c r="S77" s="8"/>
      <c r="T77" s="8"/>
      <c r="U77" s="8"/>
      <c r="V77" s="46"/>
      <c r="W77" s="42">
        <f t="shared" si="44"/>
        <v>1193.0500000000002</v>
      </c>
      <c r="X77" s="47">
        <f t="shared" si="45"/>
        <v>33.140277777777783</v>
      </c>
    </row>
    <row r="78" spans="1:24" x14ac:dyDescent="0.3">
      <c r="E78" s="8">
        <v>51</v>
      </c>
      <c r="F78" s="8" t="s">
        <v>25</v>
      </c>
      <c r="G78" s="19">
        <f t="shared" si="42"/>
        <v>15.25</v>
      </c>
      <c r="H78" s="8">
        <f t="shared" si="43"/>
        <v>820.44999999999993</v>
      </c>
      <c r="J78" s="8">
        <v>51</v>
      </c>
      <c r="K78" s="41">
        <v>30498</v>
      </c>
      <c r="L78" s="42">
        <f>((26 * 53.8) - (26 * 14) - (25 * 25.032) - (5 * 7.2) - (2 * 14.4) - (0 * 21.6) - (0 * 28.8)) * 36/36</f>
        <v>344.2</v>
      </c>
      <c r="M78" s="8"/>
      <c r="N78" s="8" t="s">
        <v>66</v>
      </c>
      <c r="O78" s="8"/>
      <c r="P78" s="8"/>
      <c r="Q78" s="8"/>
      <c r="R78" s="8"/>
      <c r="S78" s="8"/>
      <c r="T78" s="8"/>
      <c r="U78" s="8"/>
      <c r="V78" s="46"/>
      <c r="W78" s="42">
        <f t="shared" si="44"/>
        <v>1164.6499999999999</v>
      </c>
      <c r="X78" s="47">
        <f t="shared" si="45"/>
        <v>32.351388888888884</v>
      </c>
    </row>
    <row r="79" spans="1:24" x14ac:dyDescent="0.3">
      <c r="E79" s="8">
        <v>52</v>
      </c>
      <c r="F79" s="8" t="s">
        <v>25</v>
      </c>
      <c r="G79" s="19">
        <f t="shared" si="42"/>
        <v>14.25</v>
      </c>
      <c r="H79" s="8">
        <f t="shared" si="43"/>
        <v>766.65</v>
      </c>
      <c r="J79" s="8">
        <v>52</v>
      </c>
      <c r="K79" s="41">
        <v>30133</v>
      </c>
      <c r="L79" s="42">
        <f>((27 * 53.8) - (27 * 14) - (25 * 25.032) - (5 * 7.2) - (3 * 14.4) - (0 * 21.6) - (0 * 28.8)) * 36/36</f>
        <v>369.59999999999997</v>
      </c>
      <c r="M79" s="8"/>
      <c r="N79" s="8" t="s">
        <v>67</v>
      </c>
      <c r="O79" s="8"/>
      <c r="P79" s="8"/>
      <c r="Q79" s="8"/>
      <c r="R79" s="8"/>
      <c r="S79" s="8"/>
      <c r="T79" s="8"/>
      <c r="U79" s="8"/>
      <c r="V79" s="46"/>
      <c r="W79" s="42">
        <f t="shared" si="44"/>
        <v>1136.25</v>
      </c>
      <c r="X79" s="47">
        <f t="shared" si="45"/>
        <v>31.5625</v>
      </c>
    </row>
    <row r="80" spans="1:24" x14ac:dyDescent="0.3">
      <c r="E80" s="8">
        <v>53</v>
      </c>
      <c r="F80" s="8" t="s">
        <v>25</v>
      </c>
      <c r="G80" s="19">
        <f t="shared" si="42"/>
        <v>13.25</v>
      </c>
      <c r="H80" s="8">
        <f t="shared" si="43"/>
        <v>712.84999999999991</v>
      </c>
      <c r="J80" s="8">
        <v>53</v>
      </c>
      <c r="K80" s="41">
        <v>29768</v>
      </c>
      <c r="L80" s="42">
        <f>((28 * 53.8) - (28 * 14) - (25 * 25.032) - (5 * 7.2) - (4 * 14.4) - (0 * 21.6) - (0 * 28.8)) * 36/36</f>
        <v>394.99999999999989</v>
      </c>
      <c r="M80" s="8"/>
      <c r="N80" s="8" t="s">
        <v>68</v>
      </c>
      <c r="O80" s="8"/>
      <c r="P80" s="8"/>
      <c r="Q80" s="8"/>
      <c r="R80" s="8"/>
      <c r="S80" s="8"/>
      <c r="T80" s="8"/>
      <c r="U80" s="8"/>
      <c r="V80" s="46"/>
      <c r="W80" s="42">
        <f t="shared" si="44"/>
        <v>1107.8499999999999</v>
      </c>
      <c r="X80" s="47">
        <f t="shared" si="45"/>
        <v>30.773611111111109</v>
      </c>
    </row>
    <row r="81" spans="5:24" x14ac:dyDescent="0.3">
      <c r="E81" s="8">
        <v>54</v>
      </c>
      <c r="F81" s="8" t="s">
        <v>25</v>
      </c>
      <c r="G81" s="19">
        <f t="shared" si="42"/>
        <v>12.25</v>
      </c>
      <c r="H81" s="8">
        <f t="shared" si="43"/>
        <v>659.05</v>
      </c>
      <c r="J81" s="8">
        <v>54</v>
      </c>
      <c r="K81" s="41">
        <v>29403</v>
      </c>
      <c r="L81" s="42">
        <f>((29 * 53.8) - (29 * 14) - (25 * 25.032) - (5 * 7.2) - (5 * 14.4) - (1 * 21.6) - (0 * 28.8)) * 36/36</f>
        <v>398.79999999999984</v>
      </c>
      <c r="M81" s="8"/>
      <c r="N81" s="8" t="s">
        <v>69</v>
      </c>
      <c r="O81" s="8"/>
      <c r="P81" s="8"/>
      <c r="Q81" s="8"/>
      <c r="R81" s="8"/>
      <c r="S81" s="8"/>
      <c r="T81" s="8"/>
      <c r="U81" s="8"/>
      <c r="V81" s="46"/>
      <c r="W81" s="42">
        <f t="shared" si="44"/>
        <v>1057.8499999999999</v>
      </c>
      <c r="X81" s="47">
        <f t="shared" si="45"/>
        <v>29.384722222222219</v>
      </c>
    </row>
  </sheetData>
  <mergeCells count="10">
    <mergeCell ref="L71:L72"/>
    <mergeCell ref="R2:R18"/>
    <mergeCell ref="A1:L1"/>
    <mergeCell ref="E69:F69"/>
    <mergeCell ref="G3:J3"/>
    <mergeCell ref="G2:J2"/>
    <mergeCell ref="K5:L5"/>
    <mergeCell ref="K2:P2"/>
    <mergeCell ref="M3:N3"/>
    <mergeCell ref="O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2019-01-11T11:40:31Z</dcterms:created>
  <dcterms:modified xsi:type="dcterms:W3CDTF">2019-01-17T15:46:37Z</dcterms:modified>
</cp:coreProperties>
</file>